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Your Loan" sheetId="2" state="visible" r:id="rId2"/>
    <sheet xmlns:r="http://schemas.openxmlformats.org/officeDocument/2006/relationships" name="Assessment" sheetId="3" state="visible" r:id="rId3"/>
    <sheet xmlns:r="http://schemas.openxmlformats.org/officeDocument/2006/relationships" name="On-Lending" sheetId="4" state="visible" r:id="rId4"/>
    <sheet xmlns:r="http://schemas.openxmlformats.org/officeDocument/2006/relationships" name="Fair Seettu" sheetId="5" state="visible" r:id="rId5"/>
    <sheet xmlns:r="http://schemas.openxmlformats.org/officeDocument/2006/relationships" name="Glossary &amp; Sources" sheetId="6" state="visible" r:id="rId6"/>
  </sheets>
  <definedNames/>
  <calcPr calcId="124519" fullCalcOnLoad="1"/>
</workbook>
</file>

<file path=xl/styles.xml><?xml version="1.0" encoding="utf-8"?>
<styleSheet xmlns="http://schemas.openxmlformats.org/spreadsheetml/2006/main">
  <numFmts count="3">
    <numFmt numFmtId="164" formatCode="yyyy-mm-dd"/>
    <numFmt numFmtId="165" formatCode="0.0%"/>
    <numFmt numFmtId="166" formatCode="+0.0%;-0.0%;0%"/>
  </numFmts>
  <fonts count="20">
    <font>
      <name val="Calibri"/>
      <family val="2"/>
      <color theme="1"/>
      <sz val="11"/>
      <scheme val="minor"/>
    </font>
    <font>
      <name val="Calibri"/>
      <b val="1"/>
      <color rgb="FF01696F"/>
      <sz val="22"/>
    </font>
    <font>
      <name val="Calibri"/>
      <i val="1"/>
      <color rgb="FF7A7974"/>
      <sz val="12"/>
    </font>
    <font>
      <name val="Calibri"/>
      <b val="1"/>
      <color rgb="FF28251D"/>
      <sz val="14"/>
    </font>
    <font>
      <name val="Calibri"/>
      <b val="1"/>
      <color rgb="FF01696F"/>
      <sz val="11"/>
    </font>
    <font>
      <name val="Calibri"/>
      <color rgb="FF28251D"/>
      <sz val="11"/>
    </font>
    <font>
      <name val="Calibri"/>
      <b val="1"/>
      <color rgb="FF964219"/>
      <sz val="12"/>
    </font>
    <font>
      <name val="Calibri"/>
      <color rgb="FF7A7974"/>
      <sz val="11"/>
    </font>
    <font>
      <name val="Calibri"/>
      <b val="1"/>
      <color rgb="FF28251D"/>
      <sz val="12"/>
    </font>
    <font>
      <name val="Calibri"/>
      <b val="1"/>
      <color rgb="FF01696F"/>
      <sz val="20"/>
    </font>
    <font>
      <name val="Calibri"/>
      <i val="1"/>
      <color rgb="FF7A7974"/>
      <sz val="11"/>
    </font>
    <font>
      <name val="Calibri"/>
      <b val="1"/>
      <color rgb="FF01696F"/>
      <sz val="13"/>
    </font>
    <font>
      <name val="Calibri"/>
      <b val="1"/>
      <color rgb="FF28251D"/>
      <sz val="11"/>
    </font>
    <font>
      <name val="Calibri"/>
      <i val="1"/>
      <color rgb="FF28251D"/>
      <sz val="11"/>
    </font>
    <font>
      <name val="Calibri"/>
      <i val="1"/>
      <color rgb="FF7A7974"/>
      <sz val="10"/>
    </font>
    <font>
      <name val="Calibri"/>
      <b val="1"/>
      <color rgb="FF01696F"/>
      <sz val="14"/>
    </font>
    <font>
      <name val="Calibri"/>
      <b val="1"/>
      <color rgb="FFFFFFFF"/>
      <sz val="11"/>
    </font>
    <font>
      <name val="Calibri"/>
      <color rgb="FF7A7974"/>
      <sz val="10"/>
    </font>
    <font>
      <name val="Calibri"/>
      <b val="1"/>
      <color rgb="FFFFFFFF"/>
      <sz val="14"/>
    </font>
    <font>
      <name val="Calibri"/>
      <color rgb="FF01696F"/>
      <sz val="10"/>
      <u val="single"/>
    </font>
  </fonts>
  <fills count="6">
    <fill>
      <patternFill/>
    </fill>
    <fill>
      <patternFill patternType="gray125"/>
    </fill>
    <fill>
      <patternFill patternType="solid">
        <fgColor rgb="FFD9E8E9"/>
      </patternFill>
    </fill>
    <fill>
      <patternFill patternType="solid">
        <fgColor rgb="FFF9F8F5"/>
      </patternFill>
    </fill>
    <fill>
      <patternFill patternType="solid">
        <fgColor rgb="FFEFE9D9"/>
      </patternFill>
    </fill>
    <fill>
      <patternFill patternType="solid">
        <fgColor rgb="FF01696F"/>
      </patternFill>
    </fill>
  </fills>
  <borders count="6">
    <border>
      <left/>
      <right/>
      <top/>
      <bottom/>
      <diagonal/>
    </border>
    <border>
      <left style="thin">
        <color rgb="FFD4D1CA"/>
      </left>
      <right style="thin">
        <color rgb="FFD4D1CA"/>
      </right>
      <top style="thin">
        <color rgb="FFD4D1CA"/>
      </top>
      <bottom style="thin">
        <color rgb="FFD4D1CA"/>
      </bottom>
    </border>
    <border>
      <left/>
      <right/>
      <top style="thin">
        <color rgb="FFD4D1CA"/>
      </top>
      <bottom/>
      <diagonal/>
    </border>
    <border>
      <left/>
      <right style="thin">
        <color rgb="FFD4D1CA"/>
      </right>
      <top style="thin">
        <color rgb="FFD4D1CA"/>
      </top>
      <bottom/>
      <diagonal/>
    </border>
    <border>
      <left/>
      <right/>
      <top style="thin">
        <color rgb="FFD4D1CA"/>
      </top>
      <bottom style="thin">
        <color rgb="FFD4D1CA"/>
      </bottom>
      <diagonal/>
    </border>
    <border>
      <left/>
      <right style="thin">
        <color rgb="FFD4D1CA"/>
      </right>
      <top style="thin">
        <color rgb="FFD4D1CA"/>
      </top>
      <bottom style="thin">
        <color rgb="FFD4D1CA"/>
      </bottom>
      <diagonal/>
    </border>
  </borders>
  <cellStyleXfs count="1">
    <xf numFmtId="0" fontId="0" fillId="0" borderId="0"/>
  </cellStyleXfs>
  <cellXfs count="46">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3" fillId="0" borderId="0" applyAlignment="1" pivotButton="0" quotePrefix="0" xfId="0">
      <alignment horizontal="left" vertical="center"/>
    </xf>
    <xf numFmtId="0" fontId="4" fillId="0" borderId="0" applyAlignment="1" pivotButton="0" quotePrefix="0" xfId="0">
      <alignment horizontal="right" vertical="center"/>
    </xf>
    <xf numFmtId="0" fontId="5" fillId="0" borderId="0" applyAlignment="1" pivotButton="0" quotePrefix="0" xfId="0">
      <alignment horizontal="left" vertical="center" wrapText="1"/>
    </xf>
    <xf numFmtId="0" fontId="6" fillId="0" borderId="0" applyAlignment="1" pivotButton="0" quotePrefix="0" xfId="0">
      <alignment horizontal="left" vertical="center"/>
    </xf>
    <xf numFmtId="0" fontId="7" fillId="0" borderId="0" applyAlignment="1" pivotButton="0" quotePrefix="0" xfId="0">
      <alignment horizontal="left" vertical="center" wrapText="1"/>
    </xf>
    <xf numFmtId="0" fontId="8" fillId="0" borderId="0" applyAlignment="1" pivotButton="0" quotePrefix="0" xfId="0">
      <alignment horizontal="left" vertical="center"/>
    </xf>
    <xf numFmtId="0" fontId="0" fillId="2" borderId="1" pivotButton="0" quotePrefix="0" xfId="0"/>
    <xf numFmtId="0" fontId="5" fillId="0" borderId="0" applyAlignment="1" pivotButton="0" quotePrefix="0" xfId="0">
      <alignment horizontal="left" vertical="center"/>
    </xf>
    <xf numFmtId="0" fontId="0" fillId="3" borderId="1" pivotButton="0" quotePrefix="0" xfId="0"/>
    <xf numFmtId="0" fontId="0" fillId="4" borderId="1" pivotButton="0" quotePrefix="0" xfId="0"/>
    <xf numFmtId="0" fontId="9" fillId="0" borderId="0" applyAlignment="1" pivotButton="0" quotePrefix="0" xfId="0">
      <alignment horizontal="left" vertical="center"/>
    </xf>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12" fillId="2" borderId="1" applyAlignment="1" pivotButton="0" quotePrefix="0" xfId="0">
      <alignment horizontal="center" vertical="center"/>
    </xf>
    <xf numFmtId="0" fontId="5" fillId="2" borderId="1" applyAlignment="1" pivotButton="0" quotePrefix="0" xfId="0">
      <alignment horizontal="left" vertical="center"/>
    </xf>
    <xf numFmtId="4" fontId="5" fillId="2" borderId="1" applyAlignment="1" pivotButton="0" quotePrefix="0" xfId="0">
      <alignment horizontal="right" vertical="center"/>
    </xf>
    <xf numFmtId="4" fontId="13" fillId="3" borderId="1" applyAlignment="1" pivotButton="0" quotePrefix="0" xfId="0">
      <alignment horizontal="right" vertical="center"/>
    </xf>
    <xf numFmtId="164" fontId="5" fillId="2" borderId="1" applyAlignment="1" pivotButton="0" quotePrefix="0" xfId="0">
      <alignment horizontal="center" vertical="center"/>
    </xf>
    <xf numFmtId="3" fontId="5" fillId="2" borderId="1" applyAlignment="1" pivotButton="0" quotePrefix="0" xfId="0">
      <alignment horizontal="right" vertical="center"/>
    </xf>
    <xf numFmtId="3" fontId="13" fillId="3" borderId="1" applyAlignment="1" pivotButton="0" quotePrefix="0" xfId="0">
      <alignment horizontal="right" vertical="center"/>
    </xf>
    <xf numFmtId="10" fontId="12" fillId="3" borderId="1" applyAlignment="1" pivotButton="0" quotePrefix="0" xfId="0">
      <alignment horizontal="right" vertical="center"/>
    </xf>
    <xf numFmtId="10" fontId="5" fillId="2" borderId="1" applyAlignment="1" pivotButton="0" quotePrefix="0" xfId="0">
      <alignment horizontal="right" vertical="center"/>
    </xf>
    <xf numFmtId="165" fontId="13" fillId="3" borderId="1" applyAlignment="1" pivotButton="0" quotePrefix="0" xfId="0">
      <alignment horizontal="right" vertical="center"/>
    </xf>
    <xf numFmtId="0" fontId="14" fillId="0" borderId="0" applyAlignment="1" pivotButton="0" quotePrefix="0" xfId="0">
      <alignment horizontal="left" vertical="center" wrapText="1"/>
    </xf>
    <xf numFmtId="10" fontId="15" fillId="3" borderId="1" applyAlignment="1" pivotButton="0" quotePrefix="0" xfId="0">
      <alignment horizontal="right" vertical="center"/>
    </xf>
    <xf numFmtId="0" fontId="16" fillId="5" borderId="1" applyAlignment="1" pivotButton="0" quotePrefix="0" xfId="0">
      <alignment horizontal="center" vertical="center"/>
    </xf>
    <xf numFmtId="166" fontId="13" fillId="3" borderId="1" applyAlignment="1" pivotButton="0" quotePrefix="0" xfId="0">
      <alignment horizontal="right" vertical="center"/>
    </xf>
    <xf numFmtId="0" fontId="17" fillId="0" borderId="0" applyAlignment="1" pivotButton="0" quotePrefix="0" xfId="0">
      <alignment horizontal="left" vertical="center" wrapText="1"/>
    </xf>
    <xf numFmtId="0" fontId="18" fillId="5" borderId="1" applyAlignment="1" pivotButton="0" quotePrefix="0" xfId="0">
      <alignment horizontal="center" vertical="center"/>
    </xf>
    <xf numFmtId="0" fontId="0" fillId="0" borderId="4" pivotButton="0" quotePrefix="0" xfId="0"/>
    <xf numFmtId="0" fontId="0" fillId="0" borderId="5" pivotButton="0" quotePrefix="0" xfId="0"/>
    <xf numFmtId="0" fontId="12" fillId="0" borderId="0" applyAlignment="1" pivotButton="0" quotePrefix="0" xfId="0">
      <alignment horizontal="left" vertical="center" wrapText="1"/>
    </xf>
    <xf numFmtId="0" fontId="10" fillId="0" borderId="0" applyAlignment="1" pivotButton="0" quotePrefix="0" xfId="0">
      <alignment horizontal="left" vertical="center" wrapText="1"/>
    </xf>
    <xf numFmtId="10" fontId="11" fillId="3" borderId="1" applyAlignment="1" pivotButton="0" quotePrefix="0" xfId="0">
      <alignment horizontal="right" vertical="center"/>
    </xf>
    <xf numFmtId="4" fontId="5" fillId="3" borderId="1" applyAlignment="1" pivotButton="0" quotePrefix="0" xfId="0">
      <alignment horizontal="right" vertical="center"/>
    </xf>
    <xf numFmtId="10" fontId="5" fillId="0" borderId="1" applyAlignment="1" pivotButton="0" quotePrefix="0" xfId="0">
      <alignment horizontal="right" vertical="center"/>
    </xf>
    <xf numFmtId="0" fontId="5" fillId="2" borderId="1" applyAlignment="1" pivotButton="0" quotePrefix="0" xfId="0">
      <alignment horizontal="right" vertical="center"/>
    </xf>
    <xf numFmtId="4" fontId="11" fillId="3" borderId="1" applyAlignment="1" pivotButton="0" quotePrefix="0" xfId="0">
      <alignment horizontal="right" vertical="center"/>
    </xf>
    <xf numFmtId="4" fontId="5" fillId="0" borderId="1" applyAlignment="1" pivotButton="0" quotePrefix="0" xfId="0">
      <alignment horizontal="center" vertical="center"/>
    </xf>
    <xf numFmtId="4" fontId="5" fillId="2" borderId="1" applyAlignment="1" pivotButton="0" quotePrefix="0" xfId="0">
      <alignment horizontal="left" vertical="center"/>
    </xf>
    <xf numFmtId="0" fontId="12" fillId="0" borderId="1" applyAlignment="1" pivotButton="0" quotePrefix="0" xfId="0">
      <alignment horizontal="left" vertical="center" wrapText="1"/>
    </xf>
    <xf numFmtId="0" fontId="5" fillId="0" borderId="1" applyAlignment="1" pivotButton="0" quotePrefix="0" xfId="0">
      <alignment horizontal="left" vertical="center" wrapText="1"/>
    </xf>
    <xf numFmtId="0" fontId="19" fillId="0" borderId="0" pivotButton="0" quotePrefix="0" xfId="0"/>
  </cellXfs>
  <cellStyles count="1">
    <cellStyle name="Normal" xfId="0" builtinId="0" hidden="0"/>
  </cellStyles>
  <dxfs count="3">
    <dxf>
      <fill>
        <patternFill patternType="solid">
          <fgColor rgb="FFA12C7B"/>
        </patternFill>
      </fill>
    </dxf>
    <dxf>
      <fill>
        <patternFill patternType="solid">
          <fgColor rgb="FF964219"/>
        </patternFill>
      </fill>
    </dxf>
    <dxf>
      <fill>
        <patternFill patternType="solid">
          <fgColor rgb="FF437A2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Relationships xmlns="http://schemas.openxmlformats.org/package/2006/relationships"><Relationship Type="http://schemas.openxmlformats.org/officeDocument/2006/relationships/hyperlink" Target="https://www.cbsl.gov.lk" TargetMode="External" Id="rId1"/><Relationship Type="http://schemas.openxmlformats.org/officeDocument/2006/relationships/hyperlink" Target="https://www.cbsl.gov.lk/en/financial-system/financial-system-stability/microfinance-sector" TargetMode="External" Id="rId2"/><Relationship Type="http://schemas.openxmlformats.org/officeDocument/2006/relationships/hyperlink" Target="https://www.legalaid.gov.lk" TargetMode="External" Id="rId3"/><Relationship Type="http://schemas.openxmlformats.org/officeDocument/2006/relationships/hyperlink" Target="https://www.tisrilanka.org/shylocks-continue-to-drive-women-borrowers-to-their-graves/" TargetMode="External" Id="rId4"/><Relationship Type="http://schemas.openxmlformats.org/officeDocument/2006/relationships/hyperlink" Target="https://lst.lk/wp-content/uploads/2025/04/The-Future-Foreclosed-English.pdf" TargetMode="External" Id="rId5"/><Relationship Type="http://schemas.openxmlformats.org/officeDocument/2006/relationships/hyperlink" Target="https://www.sdb.lk" TargetMode="External" Id="rId6"/><Relationship Type="http://schemas.openxmlformats.org/officeDocument/2006/relationships/hyperlink" Target="https://www.sarvodaya.org/economics" TargetMode="External" Id="rId7"/><Relationship Type="http://schemas.openxmlformats.org/officeDocument/2006/relationships/hyperlink" Target="https://www.berendina.org" TargetMode="External" Id="rId8"/><Relationship Type="http://schemas.openxmlformats.org/officeDocument/2006/relationships/hyperlink" Target="https://hfls.org" TargetMode="External" Id="rId9"/><Relationship Type="http://schemas.openxmlformats.org/officeDocument/2006/relationships/hyperlink" Target="https://help.kiva.org/s/article/Why-are-your-Field-Partners-interest-rates-so-high-1611075924732" TargetMode="External" Id="rId10"/></Relationships>
</file>

<file path=xl/worksheets/sheet1.xml><?xml version="1.0" encoding="utf-8"?>
<worksheet xmlns="http://schemas.openxmlformats.org/spreadsheetml/2006/main">
  <sheetPr>
    <outlinePr summaryBelow="1" summaryRight="1"/>
    <pageSetUpPr/>
  </sheetPr>
  <dimension ref="B2:F24"/>
  <sheetViews>
    <sheetView showGridLines="0" workbookViewId="0">
      <pane ySplit="3" topLeftCell="A4" activePane="bottomLeft" state="frozen"/>
      <selection pane="bottomLeft" activeCell="A1" sqref="A1"/>
    </sheetView>
  </sheetViews>
  <sheetFormatPr baseColWidth="8" defaultRowHeight="15"/>
  <cols>
    <col width="2" customWidth="1" min="1" max="1"/>
    <col width="60" customWidth="1" min="2" max="2"/>
    <col width="20" customWidth="1" min="3" max="3"/>
    <col width="15" customWidth="1" min="4" max="4"/>
    <col width="15" customWidth="1" min="5" max="5"/>
    <col width="15" customWidth="1" min="6" max="6"/>
  </cols>
  <sheetData>
    <row r="2">
      <c r="B2" s="1" t="inlineStr">
        <is>
          <t>PIYAVARA — Loan Assessment Workbook</t>
        </is>
      </c>
    </row>
    <row r="3">
      <c r="B3" s="2" t="inlineStr">
        <is>
          <t>A practical framework to understand what you are really paying — and what to do next.</t>
        </is>
      </c>
    </row>
    <row r="5">
      <c r="B5" s="3" t="inlineStr">
        <is>
          <t>How to use this workbook</t>
        </is>
      </c>
    </row>
    <row r="7" ht="22" customHeight="1">
      <c r="B7" s="4" t="inlineStr">
        <is>
          <t>1.</t>
        </is>
      </c>
      <c r="C7" s="5" t="inlineStr">
        <is>
          <t>Open the 'Your Loan' sheet. Fill only the shaded cells.</t>
        </is>
      </c>
    </row>
    <row r="8" ht="22" customHeight="1">
      <c r="B8" s="4" t="inlineStr">
        <is>
          <t>2.</t>
        </is>
      </c>
      <c r="C8" s="5" t="inlineStr">
        <is>
          <t>The workbook calculates your true effective annual rate using the same math banks use.</t>
        </is>
      </c>
    </row>
    <row r="9" ht="22" customHeight="1">
      <c r="B9" s="4" t="inlineStr">
        <is>
          <t>3.</t>
        </is>
      </c>
      <c r="C9" s="5" t="inlineStr">
        <is>
          <t>'Assessment' compares your rate against local benchmarks and flags what to do next.</t>
        </is>
      </c>
    </row>
    <row r="10" ht="22" customHeight="1">
      <c r="B10" s="4" t="inlineStr">
        <is>
          <t>4.</t>
        </is>
      </c>
      <c r="C10" s="5" t="inlineStr">
        <is>
          <t>'On-Lending' helps you lend fairly to a family member without becoming a predator yourself.</t>
        </is>
      </c>
    </row>
    <row r="11" ht="22" customHeight="1">
      <c r="B11" s="4" t="inlineStr">
        <is>
          <t>5.</t>
        </is>
      </c>
      <c r="C11" s="5" t="inlineStr">
        <is>
          <t>'Fair Seettu' helps a group of 5–12 people design a rotating fund with published rules.</t>
        </is>
      </c>
    </row>
    <row r="12" ht="22" customHeight="1">
      <c r="B12" s="4" t="inlineStr">
        <is>
          <t>6.</t>
        </is>
      </c>
      <c r="C12" s="5" t="inlineStr">
        <is>
          <t>'Glossary &amp; Sources' explains every term and cites the underlying regulations and data.</t>
        </is>
      </c>
    </row>
    <row r="14">
      <c r="B14" s="6" t="inlineStr">
        <is>
          <t>Important</t>
        </is>
      </c>
    </row>
    <row r="15">
      <c r="B15" s="7" t="inlineStr">
        <is>
          <t>This workbook is a self-help framework. It is not legal or financial advice. If you are in serious debt distress, contact the Sri Lanka Legal Aid Commission or your nearest SANASA or Sarvodaya SEEDS branch. For unauthorized moneylending, report to the Central Bank of Sri Lanka Financial Consumer Relations Department.</t>
        </is>
      </c>
    </row>
    <row r="16"/>
    <row r="17"/>
    <row r="18"/>
    <row r="19"/>
    <row r="21">
      <c r="B21" s="8" t="inlineStr">
        <is>
          <t>Colour legend</t>
        </is>
      </c>
    </row>
    <row r="22">
      <c r="B22" s="9" t="inlineStr"/>
      <c r="C22" s="10" t="inlineStr">
        <is>
          <t>You fill this in</t>
        </is>
      </c>
    </row>
    <row r="23">
      <c r="B23" s="11" t="inlineStr"/>
      <c r="C23" s="10" t="inlineStr">
        <is>
          <t>Calculated for you</t>
        </is>
      </c>
    </row>
    <row r="24">
      <c r="B24" s="12" t="inlineStr"/>
      <c r="C24" s="10" t="inlineStr">
        <is>
          <t>Assessment output</t>
        </is>
      </c>
    </row>
  </sheetData>
  <mergeCells count="1">
    <mergeCell ref="B15:F19"/>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F32"/>
  <sheetViews>
    <sheetView showGridLines="0" workbookViewId="0">
      <pane ySplit="3" topLeftCell="A4" activePane="bottomLeft" state="frozen"/>
      <selection pane="bottomLeft" activeCell="A1" sqref="A1"/>
    </sheetView>
  </sheetViews>
  <sheetFormatPr baseColWidth="8" defaultRowHeight="15"/>
  <cols>
    <col width="2" customWidth="1" min="1" max="1"/>
    <col width="42" customWidth="1" min="2" max="2"/>
    <col width="20" customWidth="1" min="3" max="3"/>
    <col width="20" customWidth="1" min="4" max="4"/>
    <col width="20" customWidth="1" min="5" max="5"/>
    <col width="40" customWidth="1" min="6" max="6"/>
  </cols>
  <sheetData>
    <row r="2">
      <c r="B2" s="13" t="inlineStr">
        <is>
          <t>Your Loan — Enter your real numbers</t>
        </is>
      </c>
    </row>
    <row r="3">
      <c r="B3" s="14" t="inlineStr">
        <is>
          <t>Fill the shaded (teal) cells. Every other value is calculated automatically.</t>
        </is>
      </c>
    </row>
    <row r="5">
      <c r="B5" s="15" t="inlineStr">
        <is>
          <t>1. About the loan</t>
        </is>
      </c>
    </row>
    <row r="6">
      <c r="B6" t="inlineStr">
        <is>
          <t>Currency</t>
        </is>
      </c>
      <c r="C6" s="16" t="inlineStr">
        <is>
          <t>LKR</t>
        </is>
      </c>
    </row>
    <row r="7">
      <c r="B7" t="inlineStr">
        <is>
          <t>Lender type</t>
        </is>
      </c>
      <c r="C7" s="17" t="inlineStr">
        <is>
          <t>Polikaraya / informal moneylender</t>
        </is>
      </c>
    </row>
    <row r="9" ht="26" customHeight="1">
      <c r="B9" s="5" t="inlineStr">
        <is>
          <t>Face value of the loan (what the paper says you borrowed)</t>
        </is>
      </c>
      <c r="C9" s="18" t="n">
        <v>100000</v>
      </c>
    </row>
    <row r="10" ht="26" customHeight="1">
      <c r="B10" s="5" t="inlineStr">
        <is>
          <t>Amount actually received in hand (after upfront deductions)</t>
        </is>
      </c>
      <c r="C10" s="18" t="n">
        <v>90000</v>
      </c>
    </row>
    <row r="11" ht="26" customHeight="1">
      <c r="B11" s="5" t="inlineStr">
        <is>
          <t>Upfront fee / documentation deducted (auto)</t>
        </is>
      </c>
      <c r="C11" s="19">
        <f>MAX(0, C9-C10)</f>
        <v/>
      </c>
    </row>
    <row r="12" ht="26" customHeight="1">
      <c r="B12" s="5" t="inlineStr">
        <is>
          <t>Loan start date</t>
        </is>
      </c>
      <c r="C12" s="20" t="inlineStr">
        <is>
          <t>2026-01-01</t>
        </is>
      </c>
    </row>
    <row r="13" ht="26" customHeight="1">
      <c r="B13" s="5" t="inlineStr">
        <is>
          <t>Term of the loan (months)</t>
        </is>
      </c>
      <c r="C13" s="21" t="n">
        <v>12</v>
      </c>
    </row>
    <row r="15">
      <c r="B15" s="15" t="inlineStr">
        <is>
          <t>2. Repayment schedule</t>
        </is>
      </c>
    </row>
    <row r="16">
      <c r="B16" t="inlineStr">
        <is>
          <t>Payment frequency</t>
        </is>
      </c>
      <c r="C16" s="16" t="inlineStr">
        <is>
          <t>Monthly</t>
        </is>
      </c>
    </row>
    <row r="17">
      <c r="B17" t="inlineStr">
        <is>
          <t>Payments per year (auto)</t>
        </is>
      </c>
      <c r="C17" s="22">
        <f>IFS(C16="Daily",365,C16="Weekly",52,C16="Fortnightly",26,C16="Monthly",12,C16="Quarterly",4,C16="Bullet (single repayment)",1)</f>
        <v/>
      </c>
    </row>
    <row r="18">
      <c r="B18" t="inlineStr">
        <is>
          <t>Total number of payments (auto)</t>
        </is>
      </c>
      <c r="C18" s="22">
        <f>IF(C16="Bullet (single repayment)", 1, ROUND(C13/12*C17, 0))</f>
        <v/>
      </c>
    </row>
    <row r="19">
      <c r="B19" t="inlineStr">
        <is>
          <t>Amount of each scheduled payment</t>
        </is>
      </c>
      <c r="C19" s="18" t="n">
        <v>9500</v>
      </c>
    </row>
    <row r="20">
      <c r="B20" t="inlineStr">
        <is>
          <t>Balloon / final lump sum (0 if none)</t>
        </is>
      </c>
      <c r="C20" s="18" t="n">
        <v>0</v>
      </c>
    </row>
    <row r="21">
      <c r="B21" t="inlineStr">
        <is>
          <t>Total you will repay in total (auto)</t>
        </is>
      </c>
      <c r="C21" s="19">
        <f>C18*C19+C20</f>
        <v/>
      </c>
    </row>
    <row r="22">
      <c r="B22" t="inlineStr">
        <is>
          <t>Total interest &amp; fees paid (auto)</t>
        </is>
      </c>
      <c r="C22" s="19">
        <f>C21-C10</f>
        <v/>
      </c>
    </row>
    <row r="24">
      <c r="B24" s="15" t="inlineStr">
        <is>
          <t>3. Your true effective rate</t>
        </is>
      </c>
    </row>
    <row r="25">
      <c r="B25" t="inlineStr">
        <is>
          <t>Nominal APR (annualised periodic rate)</t>
        </is>
      </c>
      <c r="C25" s="23">
        <f>IFERROR(RATE(C18, -C19, C10, -C20, 0)*C17, (C21-C10)/C10*(C17/MAX(C18,1)))</f>
        <v/>
      </c>
    </row>
    <row r="26">
      <c r="B26" t="inlineStr">
        <is>
          <t>Effective annual rate (compounded)</t>
        </is>
      </c>
      <c r="C26" s="23">
        <f>IFERROR((1+C25/C17)^C17-1, C25)</f>
        <v/>
      </c>
    </row>
    <row r="27">
      <c r="B27" t="inlineStr">
        <is>
          <t>'Flat' rate the lender advertised (per year, if quoted)</t>
        </is>
      </c>
      <c r="C27" s="24" t="n">
        <v>0.24</v>
      </c>
    </row>
    <row r="28">
      <c r="B28" t="inlineStr">
        <is>
          <t>How much bigger is the true rate than the flat quote? (auto)</t>
        </is>
      </c>
      <c r="C28" s="25">
        <f>IFERROR(C26/C27-1, "")</f>
        <v/>
      </c>
    </row>
    <row r="30">
      <c r="B30" s="26" t="inlineStr">
        <is>
          <t>Note: 'flat rate' quotes ignore the fact that you repay principal over time. A '20% per year flat' loan on level monthly instalments has an effective annual rate closer to 40%. This workbook computes the rate using the same IRR / RATE math a bank uses on its own books.</t>
        </is>
      </c>
    </row>
    <row r="31"/>
    <row r="32"/>
  </sheetData>
  <mergeCells count="1">
    <mergeCell ref="B30:F32"/>
  </mergeCells>
  <dataValidations count="3">
    <dataValidation sqref="C6" showDropDown="0" showInputMessage="0" showErrorMessage="0" allowBlank="0" type="list">
      <formula1>"LKR,INR,USD,EUR"</formula1>
    </dataValidation>
    <dataValidation sqref="C7" showDropDown="0" showInputMessage="0" showErrorMessage="0" allowBlank="0" type="list">
      <formula1>"Polikaraya / informal moneylender,Registered microfinance company,Bank personal loan,Pawnbroker (gold),Seettu / cheetu,Family or friend,Employer advance,Other"</formula1>
    </dataValidation>
    <dataValidation sqref="C16" showDropDown="0" showInputMessage="0" showErrorMessage="0" allowBlank="0" type="list">
      <formula1>"Daily,Weekly,Fortnightly,Monthly,Quarterly,Bullet (single repayment)"</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E31"/>
  <sheetViews>
    <sheetView showGridLines="0" workbookViewId="0">
      <pane ySplit="3" topLeftCell="A4" activePane="bottomLeft" state="frozen"/>
      <selection pane="bottomLeft" activeCell="A1" sqref="A1"/>
    </sheetView>
  </sheetViews>
  <sheetFormatPr baseColWidth="8" defaultRowHeight="15"/>
  <cols>
    <col width="2" customWidth="1" min="1" max="1"/>
    <col width="45" customWidth="1" min="2" max="2"/>
    <col width="22" customWidth="1" min="3" max="3"/>
    <col width="22" customWidth="1" min="4" max="4"/>
    <col width="42" customWidth="1" min="5" max="5"/>
  </cols>
  <sheetData>
    <row r="2">
      <c r="B2" s="13" t="inlineStr">
        <is>
          <t>Assessment — how does your rate compare?</t>
        </is>
      </c>
    </row>
    <row r="3">
      <c r="B3" s="14" t="inlineStr">
        <is>
          <t>Benchmarks are approximate and shift with policy. See Glossary &amp; Sources for citations.</t>
        </is>
      </c>
    </row>
    <row r="5">
      <c r="B5" s="8" t="inlineStr">
        <is>
          <t>Your effective annual rate</t>
        </is>
      </c>
      <c r="C5" s="27">
        <f>'Your Loan'!C26</f>
        <v/>
      </c>
    </row>
    <row r="7">
      <c r="B7" s="28" t="inlineStr">
        <is>
          <t>Benchmark</t>
        </is>
      </c>
      <c r="C7" s="28" t="inlineStr">
        <is>
          <t>Typical rate</t>
        </is>
      </c>
      <c r="D7" s="28" t="inlineStr">
        <is>
          <t>You vs. benchmark</t>
        </is>
      </c>
      <c r="E7" s="28" t="inlineStr">
        <is>
          <t>Notes</t>
        </is>
      </c>
    </row>
    <row r="8" ht="28" customHeight="1">
      <c r="B8" s="5" t="inlineStr">
        <is>
          <t>Commercial bank personal loan (SL)</t>
        </is>
      </c>
      <c r="C8" s="24" t="n">
        <v>0.16</v>
      </c>
      <c r="D8" s="29">
        <f>IFERROR($C$5/C8-1,"")</f>
        <v/>
      </c>
      <c r="E8" s="30" t="inlineStr">
        <is>
          <t>CBSL average personal-loan rate range; check current AWLR</t>
        </is>
      </c>
    </row>
    <row r="9" ht="28" customHeight="1">
      <c r="B9" s="5" t="inlineStr">
        <is>
          <t>SANASA cooperative loan (typical)</t>
        </is>
      </c>
      <c r="C9" s="24" t="n">
        <v>0.18</v>
      </c>
      <c r="D9" s="29">
        <f>IFERROR($C$5/C9-1,"")</f>
        <v/>
      </c>
      <c r="E9" s="30" t="inlineStr">
        <is>
          <t>Cooperative rates vary by primary society; often below commercial banks</t>
        </is>
      </c>
    </row>
    <row r="10" ht="28" customHeight="1">
      <c r="B10" s="5" t="inlineStr">
        <is>
          <t>Berendina / Sarvodaya SEEDS microfinance</t>
        </is>
      </c>
      <c r="C10" s="24" t="n">
        <v>0.24</v>
      </c>
      <c r="D10" s="29">
        <f>IFERROR($C$5/C10-1,"")</f>
        <v/>
      </c>
      <c r="E10" s="30" t="inlineStr">
        <is>
          <t>Nonprofit microfinance; disclosed and audited</t>
        </is>
      </c>
    </row>
    <row r="11" ht="28" customHeight="1">
      <c r="B11" s="5" t="inlineStr">
        <is>
          <t>Registered microfinance (post-MCRA cap)</t>
        </is>
      </c>
      <c r="C11" s="24" t="n">
        <v>0.3</v>
      </c>
      <c r="D11" s="29">
        <f>IFERROR($C$5/C11-1,"")</f>
        <v/>
      </c>
      <c r="E11" s="30" t="inlineStr">
        <is>
          <t>Cap under MCRA Act 2025 — verify current gazetted cap</t>
        </is>
      </c>
    </row>
    <row r="12" ht="28" customHeight="1">
      <c r="B12" s="5" t="inlineStr">
        <is>
          <t>Gold pawnbroker (regulated)</t>
        </is>
      </c>
      <c r="C12" s="24" t="n">
        <v>0.24</v>
      </c>
      <c r="D12" s="29">
        <f>IFERROR($C$5/C12-1,"")</f>
        <v/>
      </c>
      <c r="E12" s="30" t="inlineStr">
        <is>
          <t>Below unregulated moneylender, above bank; secured by collateral</t>
        </is>
      </c>
    </row>
    <row r="13" ht="28" customHeight="1">
      <c r="B13" s="5" t="inlineStr">
        <is>
          <t>Fair Piyavara ceiling (cost-only)</t>
        </is>
      </c>
      <c r="C13" s="24" t="n">
        <v>0.22</v>
      </c>
      <c r="D13" s="29">
        <f>IFERROR($C$5/C13-1,"")</f>
        <v/>
      </c>
      <c r="E13" s="30" t="inlineStr">
        <is>
          <t>Cost of funds + operating provision + loss reserve, no profit</t>
        </is>
      </c>
    </row>
    <row r="14" ht="28" customHeight="1">
      <c r="B14" s="5" t="inlineStr">
        <is>
          <t>Predatory threshold (framework)</t>
        </is>
      </c>
      <c r="C14" s="24" t="n">
        <v>0.6</v>
      </c>
      <c r="D14" s="29">
        <f>IFERROR($C$5/C14-1,"")</f>
        <v/>
      </c>
      <c r="E14" s="30" t="inlineStr">
        <is>
          <t>Anything above this is treated as predatory in the framework</t>
        </is>
      </c>
    </row>
    <row r="16" ht="34" customHeight="1">
      <c r="B16" s="3" t="inlineStr">
        <is>
          <t>Verdict</t>
        </is>
      </c>
      <c r="C16" s="31">
        <f>IF($C$5="","",IF($C$5&lt;=C13,"Within fair-cost band",IF($C$5&lt;=C8,"Better than banks",IF($C$5&lt;=C10,"In line with regulated microfinance",IF($C$5&lt;=C11,"Regulated gold-pawn range",IF($C$5&lt;=C14,"Above the framework fair ceiling — renegotiate","Predatory — seek help immediately"))))))</f>
        <v/>
      </c>
      <c r="D16" s="32" t="n"/>
      <c r="E16" s="33" t="n"/>
    </row>
    <row r="19">
      <c r="B19" s="15" t="inlineStr">
        <is>
          <t>Suggested next steps</t>
        </is>
      </c>
    </row>
    <row r="20" ht="20" customHeight="1">
      <c r="B20" s="34" t="inlineStr">
        <is>
          <t>If verdict is 'Predatory' or 'Above the framework fair ceiling':</t>
        </is>
      </c>
    </row>
    <row r="21" ht="34" customHeight="1">
      <c r="B21" s="30" t="inlineStr">
        <is>
          <t>Ask the lender in writing for a full schedule showing principal outstanding, interest applied, and fees. Under the Money Lending Ordinance 1918 a court may reopen a transaction where interest is 'excessive and the transaction unconscionable'.</t>
        </is>
      </c>
    </row>
    <row r="22" ht="20" customHeight="1">
      <c r="B22" s="34" t="inlineStr">
        <is>
          <t>If the loan is with a registered microfinance company:</t>
        </is>
      </c>
    </row>
    <row r="23" ht="34" customHeight="1">
      <c r="B23" s="30" t="inlineStr">
        <is>
          <t>Check the entity's licence on the Central Bank of Sri Lanka website. The Microfinance &amp; Credit Regulatory Authority Act 2025 creates a specific complaints route.</t>
        </is>
      </c>
    </row>
    <row r="24" ht="20" customHeight="1">
      <c r="B24" s="34" t="inlineStr">
        <is>
          <t>If you can afford to refinance:</t>
        </is>
      </c>
    </row>
    <row r="25" ht="34" customHeight="1">
      <c r="B25" s="30" t="inlineStr">
        <is>
          <t>Talk to your nearest SANASA primary society, Sarvodaya SEEDS branch, or Berendina Micro Investments.</t>
        </is>
      </c>
    </row>
    <row r="26" ht="20" customHeight="1">
      <c r="B26" s="34" t="inlineStr">
        <is>
          <t>If the loan is against gold:</t>
        </is>
      </c>
    </row>
    <row r="27" ht="34" customHeight="1">
      <c r="B27" s="30" t="inlineStr">
        <is>
          <t>A bank or regulated pawnbroker will usually beat an informal moneylender's rate for the same gold.</t>
        </is>
      </c>
    </row>
    <row r="28" ht="20" customHeight="1">
      <c r="B28" s="34" t="inlineStr">
        <is>
          <t>If a seettu / cheetu has collapsed:</t>
        </is>
      </c>
    </row>
    <row r="29" ht="34" customHeight="1">
      <c r="B29" s="30" t="inlineStr">
        <is>
          <t>Contact the Legal Aid Commission. Unlicensed commercial seettu operators may be committing an offence under the Chit Funds Act.</t>
        </is>
      </c>
    </row>
    <row r="30" ht="20" customHeight="1">
      <c r="B30" s="34" t="inlineStr">
        <is>
          <t>If you are considering lending money to someone yourself:</t>
        </is>
      </c>
    </row>
    <row r="31" ht="34" customHeight="1">
      <c r="B31" s="30" t="inlineStr">
        <is>
          <t>Go to the 'On-Lending' sheet. Do not simply pass through a predatory rate.</t>
        </is>
      </c>
    </row>
  </sheetData>
  <mergeCells count="13">
    <mergeCell ref="C16:E16"/>
    <mergeCell ref="B31:E31"/>
    <mergeCell ref="B23:E23"/>
    <mergeCell ref="B26:E26"/>
    <mergeCell ref="B27:E27"/>
    <mergeCell ref="B21:E21"/>
    <mergeCell ref="B30:E30"/>
    <mergeCell ref="B29:E29"/>
    <mergeCell ref="B25:E25"/>
    <mergeCell ref="B24:E24"/>
    <mergeCell ref="B20:E20"/>
    <mergeCell ref="B28:E28"/>
    <mergeCell ref="B22:E22"/>
  </mergeCells>
  <conditionalFormatting sqref="C16">
    <cfRule type="expression" priority="1" dxfId="0">
      <formula>ISNUMBER(SEARCH("Predatory",C16))</formula>
    </cfRule>
    <cfRule type="expression" priority="2" dxfId="1">
      <formula>ISNUMBER(SEARCH("Above the framework",C16))</formula>
    </cfRule>
    <cfRule type="expression" priority="3" dxfId="2">
      <formula>ISNUMBER(SEARCH("Within fair",C16))</formula>
    </cfRule>
    <cfRule type="expression" priority="4" dxfId="2">
      <formula>ISNUMBER(SEARCH("Better than",C16))</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B2:D30"/>
  <sheetViews>
    <sheetView showGridLines="0" workbookViewId="0">
      <pane ySplit="3" topLeftCell="A4" activePane="bottomLeft" state="frozen"/>
      <selection pane="bottomLeft" activeCell="A1" sqref="A1"/>
    </sheetView>
  </sheetViews>
  <sheetFormatPr baseColWidth="8" defaultRowHeight="15"/>
  <cols>
    <col width="2" customWidth="1" min="1" max="1"/>
    <col width="46" customWidth="1" min="2" max="2"/>
    <col width="22" customWidth="1" min="3" max="3"/>
    <col width="42" customWidth="1" min="4" max="4"/>
  </cols>
  <sheetData>
    <row r="2">
      <c r="B2" s="13" t="inlineStr">
        <is>
          <t>On-Lending — lending fairly to a family member or friend</t>
        </is>
      </c>
    </row>
    <row r="3" ht="34" customHeight="1">
      <c r="B3" s="35" t="inlineStr">
        <is>
          <t>Piyavara's principle: you should not lend to someone at a rate higher than your own cost of funds plus a small, disclosed, sustainability-only buffer. This sheet computes that ceiling.</t>
        </is>
      </c>
    </row>
    <row r="5">
      <c r="B5" s="15" t="inlineStr">
        <is>
          <t>1. Your inputs</t>
        </is>
      </c>
    </row>
    <row r="6" ht="26" customHeight="1">
      <c r="B6" s="5" t="inlineStr">
        <is>
          <t>Your cost of funds (0% if from savings)</t>
        </is>
      </c>
      <c r="C6" s="24" t="n">
        <v>0</v>
      </c>
    </row>
    <row r="7" ht="26" customHeight="1">
      <c r="B7" s="5" t="inlineStr">
        <is>
          <t>Amount you want to lend</t>
        </is>
      </c>
      <c r="C7" s="21" t="n">
        <v>50000</v>
      </c>
    </row>
    <row r="8" ht="26" customHeight="1">
      <c r="B8" s="5" t="inlineStr">
        <is>
          <t>Term you want to lend for (months)</t>
        </is>
      </c>
      <c r="C8" s="21" t="n">
        <v>6</v>
      </c>
    </row>
    <row r="9" ht="26" customHeight="1">
      <c r="B9" s="5" t="inlineStr">
        <is>
          <t>Expected loss provision (0% spouse, up to 5% distant relative)</t>
        </is>
      </c>
      <c r="C9" s="24" t="n">
        <v>0.02</v>
      </c>
    </row>
    <row r="10" ht="26" customHeight="1">
      <c r="B10" s="5" t="inlineStr">
        <is>
          <t>Sustainability / admin buffer (recommended 1–2%)</t>
        </is>
      </c>
      <c r="C10" s="24" t="n">
        <v>0.02</v>
      </c>
    </row>
    <row r="12">
      <c r="B12" s="15" t="inlineStr">
        <is>
          <t>2. Fair ceiling (calculated)</t>
        </is>
      </c>
    </row>
    <row r="13">
      <c r="B13" t="inlineStr">
        <is>
          <t>Fair annual rate ceiling (Piyavara framework)</t>
        </is>
      </c>
      <c r="C13" s="36">
        <f>C6+C9+C10</f>
        <v/>
      </c>
    </row>
    <row r="14">
      <c r="B14" t="inlineStr">
        <is>
          <t>Suggested monthly payment on a level-amortising loan</t>
        </is>
      </c>
      <c r="C14" s="37">
        <f>IFERROR(PMT(C13/12,C8,-C7),"")</f>
        <v/>
      </c>
    </row>
    <row r="15">
      <c r="B15" t="inlineStr">
        <is>
          <t>Total interest they will pay over the life of the loan</t>
        </is>
      </c>
      <c r="C15" s="37">
        <f>IFERROR(C14*C8-C7,"")</f>
        <v/>
      </c>
    </row>
    <row r="17">
      <c r="B17" s="15" t="inlineStr">
        <is>
          <t>3. Compare to alternatives</t>
        </is>
      </c>
    </row>
    <row r="18">
      <c r="B18" t="inlineStr">
        <is>
          <t>Piyavara framework ceiling</t>
        </is>
      </c>
      <c r="C18" s="38">
        <f>C13</f>
        <v/>
      </c>
      <c r="D18" s="30" t="inlineStr">
        <is>
          <t>Fair</t>
        </is>
      </c>
    </row>
    <row r="19">
      <c r="B19" t="inlineStr">
        <is>
          <t>Zero-interest gift-with-repayment (qard hasan)</t>
        </is>
      </c>
      <c r="C19" s="38" t="n">
        <v>0</v>
      </c>
      <c r="D19" s="30" t="inlineStr">
        <is>
          <t>Kindest option; only if you can afford potential loss</t>
        </is>
      </c>
    </row>
    <row r="20">
      <c r="B20" t="inlineStr">
        <is>
          <t>Typical polikaraya rate (informal)</t>
        </is>
      </c>
      <c r="C20" s="38" t="n">
        <v>0.6</v>
      </c>
      <c r="D20" s="30" t="inlineStr">
        <is>
          <t>Do not lend at this rate</t>
        </is>
      </c>
    </row>
    <row r="22">
      <c r="B22" s="15" t="inlineStr">
        <is>
          <t>Written agreement checklist</t>
        </is>
      </c>
    </row>
    <row r="23">
      <c r="B23" s="5" t="inlineStr">
        <is>
          <t>☐  Names, addresses, and NIC numbers of both parties</t>
        </is>
      </c>
    </row>
    <row r="24">
      <c r="B24" s="5" t="inlineStr">
        <is>
          <t>☐  Amount lent (in words and figures) and currency</t>
        </is>
      </c>
    </row>
    <row r="25">
      <c r="B25" s="5" t="inlineStr">
        <is>
          <t>☐  Interest rate (annual %, effective) — not a 'flat' quote</t>
        </is>
      </c>
    </row>
    <row r="26">
      <c r="B26" s="5" t="inlineStr">
        <is>
          <t>☐  Repayment schedule (dates and amounts)</t>
        </is>
      </c>
    </row>
    <row r="27">
      <c r="B27" s="5" t="inlineStr">
        <is>
          <t>☐  What happens if a payment is missed (grace period, any late fee)</t>
        </is>
      </c>
    </row>
    <row r="28">
      <c r="B28" s="5" t="inlineStr">
        <is>
          <t>☐  How the loan ends (final receipt)</t>
        </is>
      </c>
    </row>
    <row r="29">
      <c r="B29" s="5" t="inlineStr">
        <is>
          <t>☐  Signed by both parties + one witness. Keep both copies.</t>
        </is>
      </c>
    </row>
    <row r="30">
      <c r="B30" s="5" t="inlineStr">
        <is>
          <t>☐  Optional: two guarantors, signed. This is the gemach / HFLS model.</t>
        </is>
      </c>
    </row>
  </sheetData>
  <mergeCells count="9">
    <mergeCell ref="B28:D28"/>
    <mergeCell ref="B3:D3"/>
    <mergeCell ref="B23:D23"/>
    <mergeCell ref="B26:D26"/>
    <mergeCell ref="B27:D27"/>
    <mergeCell ref="B30:D30"/>
    <mergeCell ref="B29:D29"/>
    <mergeCell ref="B25:D25"/>
    <mergeCell ref="B24:D24"/>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E40"/>
  <sheetViews>
    <sheetView showGridLines="0" workbookViewId="0">
      <pane ySplit="3" topLeftCell="A4" activePane="bottomLeft" state="frozen"/>
      <selection pane="bottomLeft" activeCell="A1" sqref="A1"/>
    </sheetView>
  </sheetViews>
  <sheetFormatPr baseColWidth="8" defaultRowHeight="15"/>
  <cols>
    <col width="2" customWidth="1" min="1" max="1"/>
    <col width="44" customWidth="1" min="2" max="2"/>
    <col width="20" customWidth="1" min="3" max="3"/>
    <col width="20" customWidth="1" min="4" max="4"/>
    <col width="40" customWidth="1" min="5" max="5"/>
  </cols>
  <sheetData>
    <row r="2">
      <c r="B2" s="13" t="inlineStr">
        <is>
          <t>Fair Seettu — design a rotating fund your group can trust</t>
        </is>
      </c>
    </row>
    <row r="3" ht="34" customHeight="1">
      <c r="B3" s="35" t="inlineStr">
        <is>
          <t>A seettu (Sinhala) / cheetu (Tamil) rotating savings group works when the rules are published, membership is stable, and no one earns a hidden margin. This sheet lays out those rules and models the cash flows for your group.</t>
        </is>
      </c>
    </row>
    <row r="5">
      <c r="B5" s="15" t="inlineStr">
        <is>
          <t>1. Your group</t>
        </is>
      </c>
    </row>
    <row r="6" ht="26" customHeight="1">
      <c r="B6" s="5" t="inlineStr">
        <is>
          <t>Number of members in the group (5–12 recommended)</t>
        </is>
      </c>
      <c r="C6" s="21" t="n">
        <v>10</v>
      </c>
    </row>
    <row r="7" ht="26" customHeight="1">
      <c r="B7" s="5" t="inlineStr">
        <is>
          <t>Contribution per member per period</t>
        </is>
      </c>
      <c r="C7" s="18" t="n">
        <v>5000</v>
      </c>
    </row>
    <row r="8" ht="26" customHeight="1">
      <c r="B8" s="5" t="inlineStr">
        <is>
          <t>Period length</t>
        </is>
      </c>
      <c r="C8" s="39" t="inlineStr">
        <is>
          <t>Monthly</t>
        </is>
      </c>
    </row>
    <row r="9" ht="26" customHeight="1">
      <c r="B9" s="5" t="inlineStr">
        <is>
          <t>Total cycles until every member has received the pool once (auto)</t>
        </is>
      </c>
      <c r="C9" s="22">
        <f>C6</f>
        <v/>
      </c>
    </row>
    <row r="11">
      <c r="B11" s="15" t="inlineStr">
        <is>
          <t>2. Payout per cycle</t>
        </is>
      </c>
    </row>
    <row r="12">
      <c r="B12" t="inlineStr">
        <is>
          <t>Amount each member receives when it is their turn</t>
        </is>
      </c>
      <c r="C12" s="40">
        <f>C6*C7</f>
        <v/>
      </c>
    </row>
    <row r="13">
      <c r="B13" t="inlineStr">
        <is>
          <t>Total each member will contribute across the full cycle</t>
        </is>
      </c>
      <c r="C13" s="37">
        <f>C7*C9</f>
        <v/>
      </c>
    </row>
    <row r="15">
      <c r="B15" s="15" t="inlineStr">
        <is>
          <t>3. Written rules the group must agree before starting</t>
        </is>
      </c>
    </row>
    <row r="16" ht="26" customHeight="1">
      <c r="B16" s="5" t="inlineStr">
        <is>
          <t>1. Every member signs a written constitution stating amounts, dates, and the rotation order.</t>
        </is>
      </c>
    </row>
    <row r="17" ht="26" customHeight="1">
      <c r="B17" s="5" t="inlineStr">
        <is>
          <t>2. Rotation order is chosen by lot in front of everyone at the first meeting.</t>
        </is>
      </c>
    </row>
    <row r="18" ht="26" customHeight="1">
      <c r="B18" s="5" t="inlineStr">
        <is>
          <t>3. One trusted member is chosen as record-keeper. Records are shown at every meeting.</t>
        </is>
      </c>
    </row>
    <row r="19" ht="26" customHeight="1">
      <c r="B19" s="5" t="inlineStr">
        <is>
          <t>4. A second member independently verifies each cycle's collection and payout.</t>
        </is>
      </c>
    </row>
    <row r="20" ht="26" customHeight="1">
      <c r="B20" s="5" t="inlineStr">
        <is>
          <t>5. If a member cannot pay one cycle, the group votes: skip once (with proof of hardship), or the guarantor covers it.</t>
        </is>
      </c>
    </row>
    <row r="21" ht="26" customHeight="1">
      <c r="B21" s="5" t="inlineStr">
        <is>
          <t>6. Every member names one guarantor at the start. Guarantors are named in the constitution.</t>
        </is>
      </c>
    </row>
    <row r="22" ht="26" customHeight="1">
      <c r="B22" s="5" t="inlineStr">
        <is>
          <t>7. If the record-keeper misses a meeting, the pool for that cycle is held publicly by two members jointly.</t>
        </is>
      </c>
    </row>
    <row r="23" ht="26" customHeight="1">
      <c r="B23" s="5" t="inlineStr">
        <is>
          <t>8. The group meets in person at every payout. No digital-only rotations.</t>
        </is>
      </c>
    </row>
    <row r="24" ht="26" customHeight="1">
      <c r="B24" s="5" t="inlineStr">
        <is>
          <t>9. The group cannot invite a new member mid-cycle. Wait for a full cycle to end.</t>
        </is>
      </c>
    </row>
    <row r="25" ht="26" customHeight="1">
      <c r="B25" s="5" t="inlineStr">
        <is>
          <t>10. If the group dissolves early, remaining pool is returned in proportion to what each has contributed.</t>
        </is>
      </c>
    </row>
    <row r="27">
      <c r="B27" s="15" t="inlineStr">
        <is>
          <t>4. Cycle-by-cycle example (edit member names)</t>
        </is>
      </c>
    </row>
    <row r="28">
      <c r="B28" s="28" t="inlineStr">
        <is>
          <t>Cycle #</t>
        </is>
      </c>
      <c r="C28" s="28" t="inlineStr">
        <is>
          <t>Recipient</t>
        </is>
      </c>
      <c r="D28" s="28" t="inlineStr">
        <is>
          <t>Amount received</t>
        </is>
      </c>
      <c r="E28" s="28" t="inlineStr">
        <is>
          <t>Contribution this cycle</t>
        </is>
      </c>
    </row>
    <row r="29">
      <c r="B29" s="41">
        <f>IF(1&lt;=$C$6, 1, "")</f>
        <v/>
      </c>
      <c r="C29" s="42" t="inlineStr">
        <is>
          <t>Member 1</t>
        </is>
      </c>
      <c r="D29" s="41">
        <f>IF(1&lt;=$C$6, $C$12, "")</f>
        <v/>
      </c>
      <c r="E29" s="41">
        <f>IF(1&lt;=$C$6, $C$7, "")</f>
        <v/>
      </c>
    </row>
    <row r="30">
      <c r="B30" s="41">
        <f>IF(2&lt;=$C$6, 2, "")</f>
        <v/>
      </c>
      <c r="C30" s="42" t="inlineStr">
        <is>
          <t>Member 2</t>
        </is>
      </c>
      <c r="D30" s="41">
        <f>IF(2&lt;=$C$6, $C$12, "")</f>
        <v/>
      </c>
      <c r="E30" s="41">
        <f>IF(2&lt;=$C$6, $C$7, "")</f>
        <v/>
      </c>
    </row>
    <row r="31">
      <c r="B31" s="41">
        <f>IF(3&lt;=$C$6, 3, "")</f>
        <v/>
      </c>
      <c r="C31" s="42" t="inlineStr">
        <is>
          <t>Member 3</t>
        </is>
      </c>
      <c r="D31" s="41">
        <f>IF(3&lt;=$C$6, $C$12, "")</f>
        <v/>
      </c>
      <c r="E31" s="41">
        <f>IF(3&lt;=$C$6, $C$7, "")</f>
        <v/>
      </c>
    </row>
    <row r="32">
      <c r="B32" s="41">
        <f>IF(4&lt;=$C$6, 4, "")</f>
        <v/>
      </c>
      <c r="C32" s="42" t="inlineStr">
        <is>
          <t>Member 4</t>
        </is>
      </c>
      <c r="D32" s="41">
        <f>IF(4&lt;=$C$6, $C$12, "")</f>
        <v/>
      </c>
      <c r="E32" s="41">
        <f>IF(4&lt;=$C$6, $C$7, "")</f>
        <v/>
      </c>
    </row>
    <row r="33">
      <c r="B33" s="41">
        <f>IF(5&lt;=$C$6, 5, "")</f>
        <v/>
      </c>
      <c r="C33" s="42" t="inlineStr">
        <is>
          <t>Member 5</t>
        </is>
      </c>
      <c r="D33" s="41">
        <f>IF(5&lt;=$C$6, $C$12, "")</f>
        <v/>
      </c>
      <c r="E33" s="41">
        <f>IF(5&lt;=$C$6, $C$7, "")</f>
        <v/>
      </c>
    </row>
    <row r="34">
      <c r="B34" s="41">
        <f>IF(6&lt;=$C$6, 6, "")</f>
        <v/>
      </c>
      <c r="C34" s="42" t="inlineStr">
        <is>
          <t>Member 6</t>
        </is>
      </c>
      <c r="D34" s="41">
        <f>IF(6&lt;=$C$6, $C$12, "")</f>
        <v/>
      </c>
      <c r="E34" s="41">
        <f>IF(6&lt;=$C$6, $C$7, "")</f>
        <v/>
      </c>
    </row>
    <row r="35">
      <c r="B35" s="41">
        <f>IF(7&lt;=$C$6, 7, "")</f>
        <v/>
      </c>
      <c r="C35" s="42" t="inlineStr">
        <is>
          <t>Member 7</t>
        </is>
      </c>
      <c r="D35" s="41">
        <f>IF(7&lt;=$C$6, $C$12, "")</f>
        <v/>
      </c>
      <c r="E35" s="41">
        <f>IF(7&lt;=$C$6, $C$7, "")</f>
        <v/>
      </c>
    </row>
    <row r="36">
      <c r="B36" s="41">
        <f>IF(8&lt;=$C$6, 8, "")</f>
        <v/>
      </c>
      <c r="C36" s="42" t="inlineStr">
        <is>
          <t>Member 8</t>
        </is>
      </c>
      <c r="D36" s="41">
        <f>IF(8&lt;=$C$6, $C$12, "")</f>
        <v/>
      </c>
      <c r="E36" s="41">
        <f>IF(8&lt;=$C$6, $C$7, "")</f>
        <v/>
      </c>
    </row>
    <row r="37">
      <c r="B37" s="41">
        <f>IF(9&lt;=$C$6, 9, "")</f>
        <v/>
      </c>
      <c r="C37" s="42" t="inlineStr">
        <is>
          <t>Member 9</t>
        </is>
      </c>
      <c r="D37" s="41">
        <f>IF(9&lt;=$C$6, $C$12, "")</f>
        <v/>
      </c>
      <c r="E37" s="41">
        <f>IF(9&lt;=$C$6, $C$7, "")</f>
        <v/>
      </c>
    </row>
    <row r="38">
      <c r="B38" s="41">
        <f>IF(10&lt;=$C$6, 10, "")</f>
        <v/>
      </c>
      <c r="C38" s="42" t="inlineStr">
        <is>
          <t>Member 10</t>
        </is>
      </c>
      <c r="D38" s="41">
        <f>IF(10&lt;=$C$6, $C$12, "")</f>
        <v/>
      </c>
      <c r="E38" s="41">
        <f>IF(10&lt;=$C$6, $C$7, "")</f>
        <v/>
      </c>
    </row>
    <row r="39">
      <c r="B39" s="41">
        <f>IF(11&lt;=$C$6, 11, "")</f>
        <v/>
      </c>
      <c r="C39" s="42" t="inlineStr">
        <is>
          <t>Member 11</t>
        </is>
      </c>
      <c r="D39" s="41">
        <f>IF(11&lt;=$C$6, $C$12, "")</f>
        <v/>
      </c>
      <c r="E39" s="41">
        <f>IF(11&lt;=$C$6, $C$7, "")</f>
        <v/>
      </c>
    </row>
    <row r="40">
      <c r="B40" s="41">
        <f>IF(12&lt;=$C$6, 12, "")</f>
        <v/>
      </c>
      <c r="C40" s="42" t="inlineStr">
        <is>
          <t>Member 12</t>
        </is>
      </c>
      <c r="D40" s="41">
        <f>IF(12&lt;=$C$6, $C$12, "")</f>
        <v/>
      </c>
      <c r="E40" s="41">
        <f>IF(12&lt;=$C$6, $C$7, "")</f>
        <v/>
      </c>
    </row>
  </sheetData>
  <mergeCells count="11">
    <mergeCell ref="B17:E17"/>
    <mergeCell ref="B18:E18"/>
    <mergeCell ref="B23:E23"/>
    <mergeCell ref="B21:E21"/>
    <mergeCell ref="B16:E16"/>
    <mergeCell ref="B25:E25"/>
    <mergeCell ref="B3:E3"/>
    <mergeCell ref="B19:E19"/>
    <mergeCell ref="B20:E20"/>
    <mergeCell ref="B24:E24"/>
    <mergeCell ref="B22:E22"/>
  </mergeCells>
  <dataValidations count="1">
    <dataValidation sqref="C8" showDropDown="0" showInputMessage="0" showErrorMessage="0" allowBlank="0" type="list">
      <formula1>"Weekly,Fortnightly,Monthly"</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B2:C32"/>
  <sheetViews>
    <sheetView showGridLines="0" workbookViewId="0">
      <pane ySplit="3" topLeftCell="A4" activePane="bottomLeft" state="frozen"/>
      <selection pane="bottomLeft" activeCell="A1" sqref="A1"/>
    </sheetView>
  </sheetViews>
  <sheetFormatPr baseColWidth="8" defaultRowHeight="15"/>
  <cols>
    <col width="2" customWidth="1" min="1" max="1"/>
    <col width="30" customWidth="1" min="2" max="2"/>
    <col width="60" customWidth="1" min="3" max="3"/>
  </cols>
  <sheetData>
    <row r="2">
      <c r="B2" s="13" t="inlineStr">
        <is>
          <t>Glossary &amp; Sources</t>
        </is>
      </c>
    </row>
    <row r="4">
      <c r="B4" s="28" t="inlineStr">
        <is>
          <t>Term</t>
        </is>
      </c>
      <c r="C4" s="28" t="inlineStr">
        <is>
          <t>Meaning</t>
        </is>
      </c>
    </row>
    <row r="5" ht="44" customHeight="1">
      <c r="B5" s="43" t="inlineStr">
        <is>
          <t>APR (Annual Percentage Rate)</t>
        </is>
      </c>
      <c r="C5" s="44" t="inlineStr">
        <is>
          <t>The interest rate charged for borrowing, expressed as a yearly percentage. This is the number that lets you compare loans honestly.</t>
        </is>
      </c>
    </row>
    <row r="6" ht="44" customHeight="1">
      <c r="B6" s="43" t="inlineStr">
        <is>
          <t>Effective annual rate</t>
        </is>
      </c>
      <c r="C6" s="44" t="inlineStr">
        <is>
          <t>APR compounded for the actual payment frequency. If you pay monthly, monthly compounding matters. Always at or above the nominal APR.</t>
        </is>
      </c>
    </row>
    <row r="7" ht="44" customHeight="1">
      <c r="B7" s="43" t="inlineStr">
        <is>
          <t>Flat rate</t>
        </is>
      </c>
      <c r="C7" s="44" t="inlineStr">
        <is>
          <t>A misleading way to quote interest: it applies the rate to the original principal for the whole term as if you never paid any of it down. On monthly instalments, the true rate is usually 1.8–2x the flat quote.</t>
        </is>
      </c>
    </row>
    <row r="8" ht="44" customHeight="1">
      <c r="B8" s="43" t="inlineStr">
        <is>
          <t>Polikaraya</t>
        </is>
      </c>
      <c r="C8" s="44" t="inlineStr">
        <is>
          <t>Sri Lankan term for an informal moneylender. Not illegal in itself, but many operate above statutory rate limits and without written contracts.</t>
        </is>
      </c>
    </row>
    <row r="9" ht="44" customHeight="1">
      <c r="B9" s="43" t="inlineStr">
        <is>
          <t>Seettu / cheetu / seettuwa</t>
        </is>
      </c>
      <c r="C9" s="44" t="inlineStr">
        <is>
          <t>Sinhala/Tamil name for a Rotating Savings and Credit Association (ROSCA). Legal in Sri Lanka when informal; commercial versions require licensing under the Chit Funds Act.</t>
        </is>
      </c>
    </row>
    <row r="10" ht="44" customHeight="1">
      <c r="B10" s="43" t="inlineStr">
        <is>
          <t>Qard hasan</t>
        </is>
      </c>
      <c r="C10" s="44" t="inlineStr">
        <is>
          <t>Arabic for 'benevolent loan'. An interest-free loan where the borrower repays only the principal. Used across faiths as a template for zero-interest community lending.</t>
        </is>
      </c>
    </row>
    <row r="11" ht="44" customHeight="1">
      <c r="B11" s="43" t="inlineStr">
        <is>
          <t>VSLA</t>
        </is>
      </c>
      <c r="C11" s="44" t="inlineStr">
        <is>
          <t>Village Savings &amp; Loan Association. A group of 15–30 people who pool their own savings and lend to each other, with interest staying inside the group. Model developed by CARE / Hugh Allen in Niger 1991.</t>
        </is>
      </c>
    </row>
    <row r="12" ht="44" customHeight="1">
      <c r="B12" s="43" t="inlineStr">
        <is>
          <t>MCRA</t>
        </is>
      </c>
      <c r="C12" s="44" t="inlineStr">
        <is>
          <t>Microfinance and Credit Regulatory Authority. New Sri Lankan regulator (2025 Act) supervising microfinance and consumer lending; sets rate caps and licensing rules.</t>
        </is>
      </c>
    </row>
    <row r="13" ht="44" customHeight="1">
      <c r="B13" s="43" t="inlineStr">
        <is>
          <t>Guarantor (arev / arevim)</t>
        </is>
      </c>
      <c r="C13" s="44" t="inlineStr">
        <is>
          <t>A person who signs alongside the borrower and is liable if the borrower defaults. Foundation of the Jewish free-loan society (HFLS) underwriting model.</t>
        </is>
      </c>
    </row>
    <row r="14" ht="44" customHeight="1">
      <c r="B14" s="43" t="inlineStr">
        <is>
          <t>Joint liability</t>
        </is>
      </c>
      <c r="C14" s="44" t="inlineStr">
        <is>
          <t>Group-lending mechanism (Grameen) where each member is on the hook for the group's repayment. Powerful but can turn coercive without a rate ceiling.</t>
        </is>
      </c>
    </row>
    <row r="15" ht="44" customHeight="1">
      <c r="B15" s="43" t="inlineStr">
        <is>
          <t>SANASA</t>
        </is>
      </c>
      <c r="C15" s="44" t="inlineStr">
        <is>
          <t>Federation of thrift and credit cooperative societies in Sri Lanka. Raiffeisen-model cooperative movement dating to 1906.</t>
        </is>
      </c>
    </row>
    <row r="16" ht="44" customHeight="1">
      <c r="B16" s="43" t="inlineStr">
        <is>
          <t>Sarvodaya SEEDS</t>
        </is>
      </c>
      <c r="C16" s="44" t="inlineStr">
        <is>
          <t>Sarvodaya Economic Enterprises Development Services — microfinance and enterprise-development arm of Sarvodaya.</t>
        </is>
      </c>
    </row>
    <row r="17" ht="44" customHeight="1">
      <c r="B17" s="43" t="inlineStr">
        <is>
          <t>Berendina</t>
        </is>
      </c>
      <c r="C17" s="44" t="inlineStr">
        <is>
          <t>Registered nonprofit microfinance in Sri Lanka; publishes rates and financials.</t>
        </is>
      </c>
    </row>
    <row r="18" ht="44" customHeight="1">
      <c r="B18" s="43" t="inlineStr">
        <is>
          <t>Money Lending Ordinance 1918</t>
        </is>
      </c>
      <c r="C18" s="44" t="inlineStr">
        <is>
          <t>Sri Lankan statute empowering courts to reopen loan transactions with 'excessive and unconscionable' interest. Old but still in force.</t>
        </is>
      </c>
    </row>
    <row r="19" ht="44" customHeight="1">
      <c r="B19" s="43" t="inlineStr">
        <is>
          <t>Microfinance &amp; Credit Regulatory Authority Act (2025)</t>
        </is>
      </c>
      <c r="C19" s="44" t="inlineStr">
        <is>
          <t>New Sri Lankan statute creating the MCRA and superseding the Microfinance Act No. 6 of 2016.</t>
        </is>
      </c>
    </row>
    <row r="22">
      <c r="B22" s="15" t="inlineStr">
        <is>
          <t>Sources &amp; further reading</t>
        </is>
      </c>
    </row>
    <row r="23">
      <c r="B23" s="5" t="inlineStr">
        <is>
          <t>Central Bank of Sri Lanka</t>
        </is>
      </c>
      <c r="C23" s="45" t="inlineStr">
        <is>
          <t>https://www.cbsl.gov.lk</t>
        </is>
      </c>
    </row>
    <row r="24">
      <c r="B24" s="5" t="inlineStr">
        <is>
          <t>Central Bank of Sri Lanka — Microfinance Sector</t>
        </is>
      </c>
      <c r="C24" s="45" t="inlineStr">
        <is>
          <t>https://www.cbsl.gov.lk/en/financial-system/financial-system-stability/microfinance-sector</t>
        </is>
      </c>
    </row>
    <row r="25">
      <c r="B25" s="5" t="inlineStr">
        <is>
          <t>Sri Lanka Legal Aid Commission</t>
        </is>
      </c>
      <c r="C25" s="45" t="inlineStr">
        <is>
          <t>https://www.legalaid.gov.lk</t>
        </is>
      </c>
    </row>
    <row r="26">
      <c r="B26" s="5" t="inlineStr">
        <is>
          <t>Transparency International Sri Lanka — microfinance debt crisis coverage</t>
        </is>
      </c>
      <c r="C26" s="45" t="inlineStr">
        <is>
          <t>https://www.tisrilanka.org/shylocks-continue-to-drive-women-borrowers-to-their-graves/</t>
        </is>
      </c>
    </row>
    <row r="27">
      <c r="B27" s="5" t="inlineStr">
        <is>
          <t>Law &amp; Society Trust — The Future Foreclosed report</t>
        </is>
      </c>
      <c r="C27" s="45" t="inlineStr">
        <is>
          <t>https://lst.lk/wp-content/uploads/2025/04/The-Future-Foreclosed-English.pdf</t>
        </is>
      </c>
    </row>
    <row r="28">
      <c r="B28" s="5" t="inlineStr">
        <is>
          <t>SANASA Development Bank</t>
        </is>
      </c>
      <c r="C28" s="45" t="inlineStr">
        <is>
          <t>https://www.sdb.lk</t>
        </is>
      </c>
    </row>
    <row r="29">
      <c r="B29" s="5" t="inlineStr">
        <is>
          <t>Sarvodaya SEEDS</t>
        </is>
      </c>
      <c r="C29" s="45" t="inlineStr">
        <is>
          <t>https://www.sarvodaya.org/economics</t>
        </is>
      </c>
    </row>
    <row r="30">
      <c r="B30" s="5" t="inlineStr">
        <is>
          <t>Berendina Micro Investments</t>
        </is>
      </c>
      <c r="C30" s="45" t="inlineStr">
        <is>
          <t>https://www.berendina.org</t>
        </is>
      </c>
    </row>
    <row r="31">
      <c r="B31" s="5" t="inlineStr">
        <is>
          <t>Hebrew Free Loan Society (governance model)</t>
        </is>
      </c>
      <c r="C31" s="45" t="inlineStr">
        <is>
          <t>https://hfls.org</t>
        </is>
      </c>
    </row>
    <row r="32">
      <c r="B32" s="5" t="inlineStr">
        <is>
          <t>Kiva — why field-partner rates vary</t>
        </is>
      </c>
      <c r="C32" s="45" t="inlineStr">
        <is>
          <t>https://help.kiva.org/s/article/Why-are-your-Field-Partners-interest-rates-so-high-1611075924732</t>
        </is>
      </c>
    </row>
  </sheetData>
  <hyperlinks>
    <hyperlink xmlns:r="http://schemas.openxmlformats.org/officeDocument/2006/relationships" ref="C23" r:id="rId1"/>
    <hyperlink xmlns:r="http://schemas.openxmlformats.org/officeDocument/2006/relationships" ref="C24" r:id="rId2"/>
    <hyperlink xmlns:r="http://schemas.openxmlformats.org/officeDocument/2006/relationships" ref="C25" r:id="rId3"/>
    <hyperlink xmlns:r="http://schemas.openxmlformats.org/officeDocument/2006/relationships" ref="C26" r:id="rId4"/>
    <hyperlink xmlns:r="http://schemas.openxmlformats.org/officeDocument/2006/relationships" ref="C27" r:id="rId5"/>
    <hyperlink xmlns:r="http://schemas.openxmlformats.org/officeDocument/2006/relationships" ref="C28" r:id="rId6"/>
    <hyperlink xmlns:r="http://schemas.openxmlformats.org/officeDocument/2006/relationships" ref="C29" r:id="rId7"/>
    <hyperlink xmlns:r="http://schemas.openxmlformats.org/officeDocument/2006/relationships" ref="C30" r:id="rId8"/>
    <hyperlink xmlns:r="http://schemas.openxmlformats.org/officeDocument/2006/relationships" ref="C31" r:id="rId9"/>
    <hyperlink xmlns:r="http://schemas.openxmlformats.org/officeDocument/2006/relationships" ref="C32" r:id="rId10"/>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2026-08-22T08:33:17Z</dcterms:created>
  <dcterms:modified xmlns:dcterms="http://purl.org/dc/terms/" xmlns:xsi="http://www.w3.org/2001/XMLSchema-instance" xsi:type="dcterms:W3CDTF">2026-08-22T08:33:17Z</dcterms:modified>
</cp:coreProperties>
</file>